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ingh\Desktop\"/>
    </mc:Choice>
  </mc:AlternateContent>
  <xr:revisionPtr revIDLastSave="0" documentId="8_{E6BD71C5-22B9-4077-A38F-88768DFAD3E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Employees" sheetId="1" r:id="rId1"/>
    <sheet name="Summary" sheetId="4" r:id="rId2"/>
    <sheet name="Operational Creditors" sheetId="2" r:id="rId3"/>
    <sheet name="Working Not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J9" i="2"/>
  <c r="H9" i="2"/>
  <c r="G9" i="2"/>
  <c r="D10" i="2"/>
  <c r="E22" i="4"/>
  <c r="F7" i="4" s="1"/>
  <c r="D22" i="4"/>
  <c r="F21" i="4"/>
  <c r="E21" i="4"/>
  <c r="D21" i="4"/>
  <c r="I14" i="1"/>
  <c r="J14" i="1"/>
  <c r="K14" i="1"/>
  <c r="L14" i="1"/>
  <c r="M14" i="1"/>
  <c r="N14" i="1"/>
  <c r="O14" i="1"/>
  <c r="H14" i="1"/>
  <c r="O13" i="1"/>
  <c r="J13" i="1"/>
  <c r="L13" i="1" s="1"/>
  <c r="F6" i="4"/>
  <c r="F8" i="4"/>
  <c r="E32" i="2"/>
  <c r="F32" i="2"/>
  <c r="D32" i="2"/>
  <c r="H32" i="2"/>
  <c r="H18" i="2"/>
  <c r="H17" i="2"/>
  <c r="I4" i="2"/>
  <c r="G16" i="2" s="1"/>
  <c r="G19" i="2" s="1"/>
  <c r="H6" i="2"/>
  <c r="J6" i="2" s="1"/>
  <c r="H5" i="2"/>
  <c r="H4" i="2"/>
  <c r="F16" i="2" s="1"/>
  <c r="D19" i="2"/>
  <c r="E19" i="2"/>
  <c r="C19" i="2"/>
  <c r="J25" i="3"/>
  <c r="E24" i="3"/>
  <c r="D37" i="3"/>
  <c r="D40" i="3"/>
  <c r="D35" i="3"/>
  <c r="D36" i="3" s="1"/>
  <c r="D39" i="3" s="1"/>
  <c r="H23" i="3"/>
  <c r="D14" i="3"/>
  <c r="J19" i="1"/>
  <c r="D24" i="3"/>
  <c r="D26" i="3" s="1"/>
  <c r="E26" i="3"/>
  <c r="C20" i="3"/>
  <c r="C25" i="3" s="1"/>
  <c r="F25" i="3" s="1"/>
  <c r="G5" i="2"/>
  <c r="G4" i="2"/>
  <c r="G3" i="2"/>
  <c r="G7" i="2"/>
  <c r="G2" i="2"/>
  <c r="E6" i="2"/>
  <c r="G6" i="2" s="1"/>
  <c r="F12" i="3"/>
  <c r="D7" i="3"/>
  <c r="D8" i="3" s="1"/>
  <c r="D11" i="3" s="1"/>
  <c r="D13" i="3" s="1"/>
  <c r="H8" i="2"/>
  <c r="J8" i="2" s="1"/>
  <c r="E8" i="2"/>
  <c r="G8" i="2" s="1"/>
  <c r="H3" i="2"/>
  <c r="J3" i="2" s="1"/>
  <c r="I2" i="2"/>
  <c r="H2" i="2"/>
  <c r="J4" i="1"/>
  <c r="M4" i="1" s="1"/>
  <c r="O4" i="1" s="1"/>
  <c r="J5" i="1"/>
  <c r="L5" i="1" s="1"/>
  <c r="J6" i="1"/>
  <c r="M6" i="1" s="1"/>
  <c r="O6" i="1" s="1"/>
  <c r="J7" i="1"/>
  <c r="M7" i="1" s="1"/>
  <c r="O7" i="1" s="1"/>
  <c r="J8" i="1"/>
  <c r="M8" i="1" s="1"/>
  <c r="O8" i="1" s="1"/>
  <c r="J9" i="1"/>
  <c r="M9" i="1" s="1"/>
  <c r="O9" i="1" s="1"/>
  <c r="J11" i="1"/>
  <c r="L11" i="1" s="1"/>
  <c r="J12" i="1"/>
  <c r="L12" i="1" s="1"/>
  <c r="J3" i="1"/>
  <c r="H10" i="1"/>
  <c r="J10" i="1" s="1"/>
  <c r="L10" i="1" s="1"/>
  <c r="F14" i="4" l="1"/>
  <c r="F4" i="4"/>
  <c r="F17" i="4"/>
  <c r="F13" i="4"/>
  <c r="F9" i="4"/>
  <c r="F5" i="4"/>
  <c r="F19" i="4"/>
  <c r="F15" i="4"/>
  <c r="F11" i="4"/>
  <c r="F18" i="4"/>
  <c r="F10" i="4"/>
  <c r="F20" i="4"/>
  <c r="F16" i="4"/>
  <c r="F12" i="4"/>
  <c r="H16" i="2"/>
  <c r="H19" i="2" s="1"/>
  <c r="G32" i="2"/>
  <c r="I32" i="2"/>
  <c r="F19" i="2"/>
  <c r="J2" i="2"/>
  <c r="D15" i="3"/>
  <c r="H7" i="2" s="1"/>
  <c r="J7" i="2" s="1"/>
  <c r="C23" i="3"/>
  <c r="F23" i="3" s="1"/>
  <c r="D41" i="3"/>
  <c r="C24" i="3"/>
  <c r="J23" i="3"/>
  <c r="J4" i="2" s="1"/>
  <c r="L9" i="1"/>
  <c r="L7" i="1"/>
  <c r="M5" i="1"/>
  <c r="O5" i="1" s="1"/>
  <c r="M10" i="1"/>
  <c r="O10" i="1" s="1"/>
  <c r="M11" i="1"/>
  <c r="O11" i="1" s="1"/>
  <c r="M12" i="1"/>
  <c r="O12" i="1" s="1"/>
  <c r="L3" i="1"/>
  <c r="L6" i="1"/>
  <c r="M3" i="1"/>
  <c r="L8" i="1"/>
  <c r="L4" i="1"/>
  <c r="F22" i="4" l="1"/>
  <c r="F24" i="3"/>
  <c r="J24" i="3" s="1"/>
  <c r="F26" i="3"/>
  <c r="C26" i="3"/>
  <c r="O3" i="1"/>
  <c r="J5" i="2" l="1"/>
  <c r="K17" i="1" s="1"/>
  <c r="K18" i="1"/>
  <c r="K19" i="1" l="1"/>
</calcChain>
</file>

<file path=xl/sharedStrings.xml><?xml version="1.0" encoding="utf-8"?>
<sst xmlns="http://schemas.openxmlformats.org/spreadsheetml/2006/main" count="233" uniqueCount="119">
  <si>
    <t>Sno</t>
  </si>
  <si>
    <t>Name</t>
  </si>
  <si>
    <t>Date of Form D</t>
  </si>
  <si>
    <t>Authorized Representative</t>
  </si>
  <si>
    <t>Designation</t>
  </si>
  <si>
    <t>Anubhav Gupta</t>
  </si>
  <si>
    <t>Akhilesh Verma</t>
  </si>
  <si>
    <t>Navin Sharma</t>
  </si>
  <si>
    <t>Nitin  Gopla Yadav</t>
  </si>
  <si>
    <t>Sauhard Laskari</t>
  </si>
  <si>
    <t>Tushar Gupta</t>
  </si>
  <si>
    <t>Vaibhav Syunari</t>
  </si>
  <si>
    <t xml:space="preserve">Principal </t>
  </si>
  <si>
    <t xml:space="preserve"> Int</t>
  </si>
  <si>
    <t>Total</t>
  </si>
  <si>
    <t>Claim Details</t>
  </si>
  <si>
    <t>Admission Detials</t>
  </si>
  <si>
    <t>Salary Pending Period</t>
  </si>
  <si>
    <t>Salary</t>
  </si>
  <si>
    <t>Expenses Incurred on Behalf of Company</t>
  </si>
  <si>
    <t>Aug-2019 to Sep-19</t>
  </si>
  <si>
    <t>May &amp; Jun-19 + Sep 19 &amp; Oct 19</t>
  </si>
  <si>
    <t>Oct-20 to Apr-21</t>
  </si>
  <si>
    <t>Apr-19 to Sep-19</t>
  </si>
  <si>
    <t>Sep-20 to Apr-21</t>
  </si>
  <si>
    <t>July’2019,
August’2019, October’2019,
July’2020– December’2020</t>
  </si>
  <si>
    <t xml:space="preserve">May-2019, June’2019,
October’2019, November’2019,
January’2020
</t>
  </si>
  <si>
    <t>Gaurav Singh</t>
  </si>
  <si>
    <t>Shrey Oberoi</t>
  </si>
  <si>
    <t>Tithi Banerjee</t>
  </si>
  <si>
    <t>Apr-19 to Jul-19</t>
  </si>
  <si>
    <t>May-19 to Jul-19 &amp; Nov-19 Part Salary</t>
  </si>
  <si>
    <t>Oct-20 to Jan-21</t>
  </si>
  <si>
    <t>Rate of interest Claimed</t>
  </si>
  <si>
    <t>Shitij Oberoi</t>
  </si>
  <si>
    <t>SEO Executive</t>
  </si>
  <si>
    <t>Production Controller</t>
  </si>
  <si>
    <t>Video Editor</t>
  </si>
  <si>
    <t>KDH Travels Pvt Ltd</t>
  </si>
  <si>
    <t>Satguru Holidays India Pvt Ltd</t>
  </si>
  <si>
    <t>Praveen Khanna</t>
  </si>
  <si>
    <t>Adarsh Kumar Sarna</t>
  </si>
  <si>
    <t>Anand Kumar Sarna</t>
  </si>
  <si>
    <t>Manoj Srivastava Media Corps Private Ltd</t>
  </si>
  <si>
    <t>Deepak Kohli</t>
  </si>
  <si>
    <t>Other pending</t>
  </si>
  <si>
    <t>Remarks</t>
  </si>
  <si>
    <t>Admission mail sent on 16-05-2022</t>
  </si>
  <si>
    <t xml:space="preserve">Mail Sent of Anubhav on 17-05-22 of admission </t>
  </si>
  <si>
    <t>Digital Marketing Executive</t>
  </si>
  <si>
    <t>Producer Special Content</t>
  </si>
  <si>
    <t>Video Programming Officer</t>
  </si>
  <si>
    <t>Sound Composer &amp; editor</t>
  </si>
  <si>
    <t>Junior Reporter</t>
  </si>
  <si>
    <t>Creative Director</t>
  </si>
  <si>
    <t>Mail sent to Shitij for documents pending</t>
  </si>
  <si>
    <t xml:space="preserve">Mail Sent of Shitij on 17-05-22 of admission </t>
  </si>
  <si>
    <t>Rohit Prakash Ballyan</t>
  </si>
  <si>
    <t>Notes</t>
  </si>
  <si>
    <t>NA</t>
  </si>
  <si>
    <t>Agreement b/w Manoj Srivastav Media Corps Pvt ltd and India Sports Pvt Ltd on 03-02-2019 for Feature film production on ICC</t>
  </si>
  <si>
    <t>S.no</t>
  </si>
  <si>
    <t>Agreed Consideration was 1700000+ Production Cost</t>
  </si>
  <si>
    <t>Manoj Srivastav</t>
  </si>
  <si>
    <t>Direction Fees</t>
  </si>
  <si>
    <t>Expenses</t>
  </si>
  <si>
    <t>GST@18%</t>
  </si>
  <si>
    <t>Paid</t>
  </si>
  <si>
    <t>Outstanding</t>
  </si>
  <si>
    <t>Less GST</t>
  </si>
  <si>
    <t>Sarna Group</t>
  </si>
  <si>
    <t>A letter has been given by the CD for vacating the office on 15-03-2021, so claimant has charged rent upto Feb-21</t>
  </si>
  <si>
    <t>Rent is 126788 per month from 15-10-2019 which is divided in the ratio of 2:1:1 b/w Praveen, Adarsh &amp; Anand Sarna</t>
  </si>
  <si>
    <t>Total rent Due Till Feb</t>
  </si>
  <si>
    <t>Praveen</t>
  </si>
  <si>
    <t>Adarsh</t>
  </si>
  <si>
    <t>Anand</t>
  </si>
  <si>
    <t>Amount</t>
  </si>
  <si>
    <t>Previous Pending F 19-20</t>
  </si>
  <si>
    <t>Paid in 20-21</t>
  </si>
  <si>
    <t>Total Pending</t>
  </si>
  <si>
    <t>Mail Sent for documents dated 16-05-22
Mail Sent for documents dated 31-05-22</t>
  </si>
  <si>
    <t>Mail Sent for documents dated 16-05-22
Another Mail for Film link sent
Received from Cliamant</t>
  </si>
  <si>
    <t>Against this agreement "The Battle of Cricket " is produced</t>
  </si>
  <si>
    <t>Mail Sent for documents dated 16-05-22
Reminder sent for the document
26AS received</t>
  </si>
  <si>
    <t>Noted</t>
  </si>
  <si>
    <t>Operational Creditors</t>
  </si>
  <si>
    <t>Employees</t>
  </si>
  <si>
    <t>No. of Cliamants</t>
  </si>
  <si>
    <t>Amount Admitted</t>
  </si>
  <si>
    <t>Particular</t>
  </si>
  <si>
    <t xml:space="preserve">No agreement is entered for the mahindra films however we have link for the same films as well as mail for rate negotiation </t>
  </si>
  <si>
    <t xml:space="preserve">For Mahindra </t>
  </si>
  <si>
    <t>Remainig</t>
  </si>
  <si>
    <t>Rent  inc GST</t>
  </si>
  <si>
    <t>Opening B/s fy19-20</t>
  </si>
  <si>
    <t>Principal Admissible Amount</t>
  </si>
  <si>
    <t>Electricity</t>
  </si>
  <si>
    <t>Maintainance</t>
  </si>
  <si>
    <t>Amount Claimed</t>
  </si>
  <si>
    <t>Remarks Pending TDS and electricity bill after feb-21 is not considered in calculation</t>
  </si>
  <si>
    <t>Less GST not Paid</t>
  </si>
  <si>
    <t>Remaining</t>
  </si>
  <si>
    <t>Amount Paid</t>
  </si>
  <si>
    <t>For Mahindra pending amount</t>
  </si>
  <si>
    <t>TDS Claimed Admitted</t>
  </si>
  <si>
    <t>Int &amp; other</t>
  </si>
  <si>
    <t>Interest and other</t>
  </si>
  <si>
    <t>Category</t>
  </si>
  <si>
    <t>Operation Creditor</t>
  </si>
  <si>
    <t>Employee</t>
  </si>
  <si>
    <t>Voting Share</t>
  </si>
  <si>
    <t>S.no.</t>
  </si>
  <si>
    <t>List of creditors</t>
  </si>
  <si>
    <t>Sameer</t>
  </si>
  <si>
    <t>Manager CA</t>
  </si>
  <si>
    <t>Mail Sent to Sameer for Acceptance of claim on 24-06-2022</t>
  </si>
  <si>
    <t>DM Star India</t>
  </si>
  <si>
    <t>Reflectin in books same amount but liabilit not booked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</si>
</sst>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0" fontId="3" fillId="0" borderId="0" xfId="2"/>
    <xf numFmtId="43" fontId="2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14" fontId="5" fillId="0" borderId="1" xfId="0" applyNumberFormat="1" applyFont="1" applyBorder="1"/>
    <xf numFmtId="9" fontId="5" fillId="0" borderId="1" xfId="0" applyNumberFormat="1" applyFont="1" applyBorder="1"/>
    <xf numFmtId="164" fontId="5" fillId="0" borderId="1" xfId="1" applyNumberFormat="1" applyFont="1" applyBorder="1"/>
    <xf numFmtId="164" fontId="5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/>
    <xf numFmtId="0" fontId="0" fillId="0" borderId="0" xfId="0" applyAlignment="1">
      <alignment horizontal="left" indent="1"/>
    </xf>
    <xf numFmtId="43" fontId="5" fillId="0" borderId="1" xfId="1" applyFont="1" applyBorder="1"/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1" xfId="2" applyBorder="1"/>
    <xf numFmtId="43" fontId="2" fillId="0" borderId="1" xfId="0" applyNumberFormat="1" applyFont="1" applyBorder="1"/>
    <xf numFmtId="43" fontId="4" fillId="0" borderId="1" xfId="1" applyFont="1" applyBorder="1"/>
    <xf numFmtId="0" fontId="5" fillId="0" borderId="0" xfId="0" applyFont="1"/>
    <xf numFmtId="14" fontId="5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5" fillId="0" borderId="0" xfId="0" applyFont="1" applyAlignment="1">
      <alignment wrapText="1"/>
    </xf>
    <xf numFmtId="43" fontId="4" fillId="0" borderId="0" xfId="0" applyNumberFormat="1" applyFont="1"/>
    <xf numFmtId="10" fontId="4" fillId="0" borderId="1" xfId="3" applyNumberFormat="1" applyFont="1" applyBorder="1"/>
    <xf numFmtId="10" fontId="0" fillId="0" borderId="1" xfId="3" applyNumberFormat="1" applyFont="1" applyBorder="1"/>
    <xf numFmtId="164" fontId="5" fillId="0" borderId="0" xfId="1" applyNumberFormat="1" applyFont="1"/>
    <xf numFmtId="164" fontId="5" fillId="0" borderId="0" xfId="0" applyNumberFormat="1" applyFont="1"/>
    <xf numFmtId="0" fontId="4" fillId="0" borderId="1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ST@18%25" TargetMode="External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J19" sqref="J19"/>
    </sheetView>
  </sheetViews>
  <sheetFormatPr defaultRowHeight="14.5" x14ac:dyDescent="0.35"/>
  <cols>
    <col min="1" max="1" width="8.81640625" bestFit="1" customWidth="1"/>
    <col min="2" max="2" width="19" bestFit="1" customWidth="1"/>
    <col min="3" max="3" width="13.54296875" customWidth="1"/>
    <col min="4" max="4" width="23.1796875" customWidth="1"/>
    <col min="5" max="5" width="23.6328125" bestFit="1" customWidth="1"/>
    <col min="6" max="6" width="27.453125" customWidth="1"/>
    <col min="7" max="7" width="13.6328125" customWidth="1"/>
    <col min="8" max="8" width="13.36328125" customWidth="1"/>
    <col min="9" max="9" width="10.81640625" customWidth="1"/>
    <col min="10" max="10" width="14.7265625" bestFit="1" customWidth="1"/>
    <col min="11" max="11" width="16.08984375" bestFit="1" customWidth="1"/>
    <col min="12" max="12" width="11.26953125" bestFit="1" customWidth="1"/>
    <col min="13" max="13" width="10" bestFit="1" customWidth="1"/>
    <col min="14" max="14" width="10.08984375" bestFit="1" customWidth="1"/>
    <col min="15" max="15" width="10" bestFit="1" customWidth="1"/>
    <col min="16" max="16" width="9.7265625" bestFit="1" customWidth="1"/>
  </cols>
  <sheetData>
    <row r="1" spans="1:16" s="1" customFormat="1" x14ac:dyDescent="0.35">
      <c r="A1" s="35" t="s">
        <v>0</v>
      </c>
      <c r="B1" s="35" t="s">
        <v>1</v>
      </c>
      <c r="C1" s="8"/>
      <c r="D1" s="8"/>
      <c r="E1" s="8"/>
      <c r="F1" s="8"/>
      <c r="G1" s="8"/>
      <c r="H1" s="8"/>
      <c r="I1" s="8"/>
      <c r="J1" s="35" t="s">
        <v>15</v>
      </c>
      <c r="K1" s="35"/>
      <c r="L1" s="35"/>
      <c r="M1" s="35" t="s">
        <v>16</v>
      </c>
      <c r="N1" s="35"/>
      <c r="O1" s="35"/>
    </row>
    <row r="2" spans="1:16" s="1" customFormat="1" x14ac:dyDescent="0.35">
      <c r="A2" s="35"/>
      <c r="B2" s="35"/>
      <c r="C2" s="8" t="s">
        <v>2</v>
      </c>
      <c r="D2" s="8" t="s">
        <v>3</v>
      </c>
      <c r="E2" s="8" t="s">
        <v>4</v>
      </c>
      <c r="F2" s="8" t="s">
        <v>17</v>
      </c>
      <c r="G2" s="8" t="s">
        <v>33</v>
      </c>
      <c r="H2" s="8" t="s">
        <v>18</v>
      </c>
      <c r="I2" s="8" t="s">
        <v>19</v>
      </c>
      <c r="J2" s="8" t="s">
        <v>12</v>
      </c>
      <c r="K2" s="8" t="s">
        <v>13</v>
      </c>
      <c r="L2" s="8" t="s">
        <v>14</v>
      </c>
      <c r="M2" s="8" t="s">
        <v>12</v>
      </c>
      <c r="N2" s="8" t="s">
        <v>13</v>
      </c>
      <c r="O2" s="8" t="s">
        <v>14</v>
      </c>
    </row>
    <row r="3" spans="1:16" x14ac:dyDescent="0.35">
      <c r="A3" s="9">
        <v>1</v>
      </c>
      <c r="B3" s="9" t="s">
        <v>6</v>
      </c>
      <c r="C3" s="10">
        <v>44577</v>
      </c>
      <c r="D3" s="9" t="s">
        <v>5</v>
      </c>
      <c r="E3" s="9" t="s">
        <v>51</v>
      </c>
      <c r="F3" s="9" t="s">
        <v>20</v>
      </c>
      <c r="G3" s="11">
        <v>0.18</v>
      </c>
      <c r="H3" s="12">
        <v>86196</v>
      </c>
      <c r="I3" s="12">
        <v>70000</v>
      </c>
      <c r="J3" s="12">
        <f>H3+I3</f>
        <v>156196</v>
      </c>
      <c r="K3" s="12">
        <v>41561</v>
      </c>
      <c r="L3" s="12">
        <f>J3+K3</f>
        <v>197757</v>
      </c>
      <c r="M3" s="13">
        <f>J3</f>
        <v>156196</v>
      </c>
      <c r="N3" s="17">
        <v>0</v>
      </c>
      <c r="O3" s="13">
        <f>M3+N3</f>
        <v>156196</v>
      </c>
      <c r="P3" t="s">
        <v>48</v>
      </c>
    </row>
    <row r="4" spans="1:16" x14ac:dyDescent="0.35">
      <c r="A4" s="9">
        <v>2</v>
      </c>
      <c r="B4" s="9" t="s">
        <v>7</v>
      </c>
      <c r="C4" s="10">
        <v>44577</v>
      </c>
      <c r="D4" s="9" t="s">
        <v>5</v>
      </c>
      <c r="E4" s="9" t="s">
        <v>35</v>
      </c>
      <c r="F4" s="9" t="s">
        <v>21</v>
      </c>
      <c r="G4" s="11">
        <v>0.18</v>
      </c>
      <c r="H4" s="12">
        <v>84000</v>
      </c>
      <c r="I4" s="12">
        <v>0</v>
      </c>
      <c r="J4" s="12">
        <f t="shared" ref="J4:J13" si="0">H4+I4</f>
        <v>84000</v>
      </c>
      <c r="K4" s="12">
        <v>41031</v>
      </c>
      <c r="L4" s="12">
        <f t="shared" ref="L4:L9" si="1">J4+K4</f>
        <v>125031</v>
      </c>
      <c r="M4" s="13">
        <f t="shared" ref="M4:M10" si="2">J4</f>
        <v>84000</v>
      </c>
      <c r="N4" s="17">
        <v>0</v>
      </c>
      <c r="O4" s="13">
        <f t="shared" ref="O4:O13" si="3">M4+N4</f>
        <v>84000</v>
      </c>
      <c r="P4" t="s">
        <v>48</v>
      </c>
    </row>
    <row r="5" spans="1:16" x14ac:dyDescent="0.35">
      <c r="A5" s="9">
        <v>3</v>
      </c>
      <c r="B5" s="9" t="s">
        <v>8</v>
      </c>
      <c r="C5" s="10">
        <v>44577</v>
      </c>
      <c r="D5" s="9" t="s">
        <v>5</v>
      </c>
      <c r="E5" s="9" t="s">
        <v>36</v>
      </c>
      <c r="F5" s="9" t="s">
        <v>25</v>
      </c>
      <c r="G5" s="11">
        <v>0.18</v>
      </c>
      <c r="H5" s="12">
        <v>360000</v>
      </c>
      <c r="I5" s="12">
        <v>0</v>
      </c>
      <c r="J5" s="12">
        <f t="shared" si="0"/>
        <v>360000</v>
      </c>
      <c r="K5" s="12">
        <v>126464</v>
      </c>
      <c r="L5" s="12">
        <f t="shared" si="1"/>
        <v>486464</v>
      </c>
      <c r="M5" s="13">
        <f t="shared" si="2"/>
        <v>360000</v>
      </c>
      <c r="N5" s="17">
        <v>0</v>
      </c>
      <c r="O5" s="13">
        <f t="shared" si="3"/>
        <v>360000</v>
      </c>
      <c r="P5" t="s">
        <v>48</v>
      </c>
    </row>
    <row r="6" spans="1:16" x14ac:dyDescent="0.35">
      <c r="A6" s="9">
        <v>4</v>
      </c>
      <c r="B6" s="9" t="s">
        <v>57</v>
      </c>
      <c r="C6" s="10">
        <v>44577</v>
      </c>
      <c r="D6" s="9" t="s">
        <v>5</v>
      </c>
      <c r="E6" s="9" t="s">
        <v>37</v>
      </c>
      <c r="F6" s="9" t="s">
        <v>22</v>
      </c>
      <c r="G6" s="11">
        <v>0.18</v>
      </c>
      <c r="H6" s="12">
        <v>187000</v>
      </c>
      <c r="I6" s="12">
        <v>0</v>
      </c>
      <c r="J6" s="12">
        <f t="shared" si="0"/>
        <v>187000</v>
      </c>
      <c r="K6" s="12">
        <v>44578</v>
      </c>
      <c r="L6" s="12">
        <f t="shared" si="1"/>
        <v>231578</v>
      </c>
      <c r="M6" s="13">
        <f t="shared" si="2"/>
        <v>187000</v>
      </c>
      <c r="N6" s="17">
        <v>0</v>
      </c>
      <c r="O6" s="13">
        <f t="shared" si="3"/>
        <v>187000</v>
      </c>
      <c r="P6" t="s">
        <v>48</v>
      </c>
    </row>
    <row r="7" spans="1:16" x14ac:dyDescent="0.35">
      <c r="A7" s="9">
        <v>5</v>
      </c>
      <c r="B7" s="9" t="s">
        <v>9</v>
      </c>
      <c r="C7" s="10">
        <v>44577</v>
      </c>
      <c r="D7" s="9" t="s">
        <v>5</v>
      </c>
      <c r="E7" s="9" t="s">
        <v>49</v>
      </c>
      <c r="F7" s="9" t="s">
        <v>23</v>
      </c>
      <c r="G7" s="11">
        <v>0.18</v>
      </c>
      <c r="H7" s="12">
        <v>99333</v>
      </c>
      <c r="I7" s="12">
        <v>0</v>
      </c>
      <c r="J7" s="12">
        <f t="shared" si="0"/>
        <v>99333</v>
      </c>
      <c r="K7" s="12">
        <v>50337</v>
      </c>
      <c r="L7" s="12">
        <f t="shared" si="1"/>
        <v>149670</v>
      </c>
      <c r="M7" s="13">
        <f t="shared" si="2"/>
        <v>99333</v>
      </c>
      <c r="N7" s="17">
        <v>0</v>
      </c>
      <c r="O7" s="13">
        <f t="shared" si="3"/>
        <v>99333</v>
      </c>
      <c r="P7" t="s">
        <v>48</v>
      </c>
    </row>
    <row r="8" spans="1:16" x14ac:dyDescent="0.35">
      <c r="A8" s="9">
        <v>6</v>
      </c>
      <c r="B8" s="9" t="s">
        <v>10</v>
      </c>
      <c r="C8" s="10">
        <v>44577</v>
      </c>
      <c r="D8" s="9" t="s">
        <v>5</v>
      </c>
      <c r="E8" s="9" t="s">
        <v>50</v>
      </c>
      <c r="F8" s="9" t="s">
        <v>24</v>
      </c>
      <c r="G8" s="11">
        <v>0.18</v>
      </c>
      <c r="H8" s="12">
        <v>253166</v>
      </c>
      <c r="I8" s="12">
        <v>0</v>
      </c>
      <c r="J8" s="12">
        <f t="shared" si="0"/>
        <v>253166</v>
      </c>
      <c r="K8" s="12">
        <v>62260</v>
      </c>
      <c r="L8" s="12">
        <f t="shared" si="1"/>
        <v>315426</v>
      </c>
      <c r="M8" s="13">
        <f t="shared" si="2"/>
        <v>253166</v>
      </c>
      <c r="N8" s="17">
        <v>0</v>
      </c>
      <c r="O8" s="13">
        <f t="shared" si="3"/>
        <v>253166</v>
      </c>
      <c r="P8" t="s">
        <v>48</v>
      </c>
    </row>
    <row r="9" spans="1:16" x14ac:dyDescent="0.35">
      <c r="A9" s="9">
        <v>7</v>
      </c>
      <c r="B9" s="9" t="s">
        <v>11</v>
      </c>
      <c r="C9" s="10">
        <v>44577</v>
      </c>
      <c r="D9" s="9" t="s">
        <v>5</v>
      </c>
      <c r="E9" s="9" t="s">
        <v>51</v>
      </c>
      <c r="F9" s="9" t="s">
        <v>26</v>
      </c>
      <c r="G9" s="11">
        <v>0.18</v>
      </c>
      <c r="H9" s="12">
        <v>103500</v>
      </c>
      <c r="I9" s="12">
        <v>0</v>
      </c>
      <c r="J9" s="12">
        <f t="shared" si="0"/>
        <v>103500</v>
      </c>
      <c r="K9" s="12">
        <v>49686</v>
      </c>
      <c r="L9" s="12">
        <f t="shared" si="1"/>
        <v>153186</v>
      </c>
      <c r="M9" s="13">
        <f t="shared" si="2"/>
        <v>103500</v>
      </c>
      <c r="N9" s="17">
        <v>0</v>
      </c>
      <c r="O9" s="13">
        <f t="shared" si="3"/>
        <v>103500</v>
      </c>
      <c r="P9" t="s">
        <v>48</v>
      </c>
    </row>
    <row r="10" spans="1:16" x14ac:dyDescent="0.35">
      <c r="A10" s="9">
        <v>8</v>
      </c>
      <c r="B10" s="9" t="s">
        <v>27</v>
      </c>
      <c r="C10" s="10">
        <v>44529</v>
      </c>
      <c r="D10" s="9" t="s">
        <v>34</v>
      </c>
      <c r="E10" s="9" t="s">
        <v>54</v>
      </c>
      <c r="F10" s="9" t="s">
        <v>30</v>
      </c>
      <c r="G10" s="11">
        <v>0.12</v>
      </c>
      <c r="H10" s="12">
        <f>540000+40000</f>
        <v>580000</v>
      </c>
      <c r="I10" s="12">
        <v>0</v>
      </c>
      <c r="J10" s="12">
        <f t="shared" si="0"/>
        <v>580000</v>
      </c>
      <c r="K10" s="12">
        <v>69600</v>
      </c>
      <c r="L10" s="12">
        <f>J10+K10</f>
        <v>649600</v>
      </c>
      <c r="M10" s="13">
        <f t="shared" si="2"/>
        <v>580000</v>
      </c>
      <c r="N10" s="17">
        <v>0</v>
      </c>
      <c r="O10" s="13">
        <f t="shared" si="3"/>
        <v>580000</v>
      </c>
      <c r="P10" t="s">
        <v>55</v>
      </c>
    </row>
    <row r="11" spans="1:16" x14ac:dyDescent="0.35">
      <c r="A11" s="9">
        <v>9</v>
      </c>
      <c r="B11" s="9" t="s">
        <v>28</v>
      </c>
      <c r="C11" s="10">
        <v>44529</v>
      </c>
      <c r="D11" s="9" t="s">
        <v>34</v>
      </c>
      <c r="E11" s="9" t="s">
        <v>52</v>
      </c>
      <c r="F11" s="9" t="s">
        <v>31</v>
      </c>
      <c r="G11" s="11">
        <v>0.18</v>
      </c>
      <c r="H11" s="12">
        <v>142800</v>
      </c>
      <c r="I11" s="12">
        <v>0</v>
      </c>
      <c r="J11" s="12">
        <f t="shared" si="0"/>
        <v>142800</v>
      </c>
      <c r="K11" s="12">
        <v>51408</v>
      </c>
      <c r="L11" s="12">
        <f t="shared" ref="L11" si="4">J11+K11</f>
        <v>194208</v>
      </c>
      <c r="M11" s="13">
        <f>J11</f>
        <v>142800</v>
      </c>
      <c r="N11" s="17">
        <v>0</v>
      </c>
      <c r="O11" s="13">
        <f t="shared" si="3"/>
        <v>142800</v>
      </c>
      <c r="P11" t="s">
        <v>56</v>
      </c>
    </row>
    <row r="12" spans="1:16" x14ac:dyDescent="0.35">
      <c r="A12" s="9">
        <v>10</v>
      </c>
      <c r="B12" s="9" t="s">
        <v>29</v>
      </c>
      <c r="C12" s="10">
        <v>44529</v>
      </c>
      <c r="D12" s="9" t="s">
        <v>34</v>
      </c>
      <c r="E12" s="9" t="s">
        <v>53</v>
      </c>
      <c r="F12" s="9" t="s">
        <v>32</v>
      </c>
      <c r="G12" s="11">
        <v>0.18</v>
      </c>
      <c r="H12" s="12">
        <v>48000</v>
      </c>
      <c r="I12" s="12">
        <v>0</v>
      </c>
      <c r="J12" s="12">
        <f t="shared" si="0"/>
        <v>48000</v>
      </c>
      <c r="K12" s="12">
        <v>8640</v>
      </c>
      <c r="L12" s="12">
        <f>J12+K12</f>
        <v>56640</v>
      </c>
      <c r="M12" s="13">
        <f>J12</f>
        <v>48000</v>
      </c>
      <c r="N12" s="17">
        <v>0</v>
      </c>
      <c r="O12" s="13">
        <f t="shared" si="3"/>
        <v>48000</v>
      </c>
      <c r="P12" t="s">
        <v>55</v>
      </c>
    </row>
    <row r="13" spans="1:16" x14ac:dyDescent="0.35">
      <c r="A13" s="9">
        <v>11</v>
      </c>
      <c r="B13" s="25" t="s">
        <v>114</v>
      </c>
      <c r="C13" s="26">
        <v>44726</v>
      </c>
      <c r="D13" s="25" t="s">
        <v>59</v>
      </c>
      <c r="E13" s="25" t="s">
        <v>115</v>
      </c>
      <c r="F13" s="25"/>
      <c r="G13" s="25">
        <v>0</v>
      </c>
      <c r="H13" s="33">
        <v>59023</v>
      </c>
      <c r="I13" s="33">
        <v>0</v>
      </c>
      <c r="J13" s="12">
        <f t="shared" si="0"/>
        <v>59023</v>
      </c>
      <c r="K13" s="33">
        <v>0</v>
      </c>
      <c r="L13" s="12">
        <f>J13+K13</f>
        <v>59023</v>
      </c>
      <c r="M13" s="34">
        <v>59023</v>
      </c>
      <c r="N13" s="34">
        <v>0</v>
      </c>
      <c r="O13" s="13">
        <f t="shared" si="3"/>
        <v>59023</v>
      </c>
      <c r="P13" t="s">
        <v>116</v>
      </c>
    </row>
    <row r="14" spans="1:16" s="1" customFormat="1" x14ac:dyDescent="0.35">
      <c r="A14" s="8"/>
      <c r="B14" s="8" t="s">
        <v>14</v>
      </c>
      <c r="C14" s="8"/>
      <c r="D14" s="8"/>
      <c r="E14" s="8"/>
      <c r="F14" s="8"/>
      <c r="G14" s="8"/>
      <c r="H14" s="15">
        <f>SUM(H3:H13)</f>
        <v>2003018</v>
      </c>
      <c r="I14" s="15">
        <f t="shared" ref="I14:O14" si="5">SUM(I3:I13)</f>
        <v>70000</v>
      </c>
      <c r="J14" s="15">
        <f t="shared" si="5"/>
        <v>2073018</v>
      </c>
      <c r="K14" s="15">
        <f t="shared" si="5"/>
        <v>545565</v>
      </c>
      <c r="L14" s="15">
        <f t="shared" si="5"/>
        <v>2618583</v>
      </c>
      <c r="M14" s="15">
        <f t="shared" si="5"/>
        <v>2073018</v>
      </c>
      <c r="N14" s="15">
        <f t="shared" si="5"/>
        <v>0</v>
      </c>
      <c r="O14" s="15">
        <f t="shared" si="5"/>
        <v>2073018</v>
      </c>
    </row>
    <row r="15" spans="1:16" x14ac:dyDescent="0.35">
      <c r="L15" s="5"/>
    </row>
    <row r="16" spans="1:16" x14ac:dyDescent="0.35">
      <c r="B16" s="18" t="s">
        <v>90</v>
      </c>
      <c r="C16" s="18"/>
      <c r="D16" s="18"/>
      <c r="E16" s="18"/>
      <c r="F16" s="18"/>
      <c r="G16" s="18"/>
      <c r="H16" s="18"/>
      <c r="I16" s="18"/>
      <c r="J16" s="18" t="s">
        <v>88</v>
      </c>
      <c r="K16" s="18" t="s">
        <v>89</v>
      </c>
      <c r="L16" s="5"/>
      <c r="M16" s="5"/>
    </row>
    <row r="17" spans="2:11" x14ac:dyDescent="0.35">
      <c r="B17" s="19" t="s">
        <v>86</v>
      </c>
      <c r="C17" s="19"/>
      <c r="D17" s="19"/>
      <c r="E17" s="19"/>
      <c r="F17" s="19"/>
      <c r="G17" s="19"/>
      <c r="H17" s="19"/>
      <c r="I17" s="19"/>
      <c r="J17" s="19">
        <v>7</v>
      </c>
      <c r="K17" s="20">
        <f>'Operational Creditors'!J10</f>
        <v>5147674.33</v>
      </c>
    </row>
    <row r="18" spans="2:11" x14ac:dyDescent="0.35">
      <c r="B18" s="19" t="s">
        <v>87</v>
      </c>
      <c r="C18" s="19"/>
      <c r="D18" s="19"/>
      <c r="E18" s="19"/>
      <c r="F18" s="19"/>
      <c r="G18" s="19"/>
      <c r="H18" s="19"/>
      <c r="I18" s="19"/>
      <c r="J18" s="19">
        <v>11</v>
      </c>
      <c r="K18" s="20">
        <f>O14</f>
        <v>2073018</v>
      </c>
    </row>
    <row r="19" spans="2:11" x14ac:dyDescent="0.35">
      <c r="B19" s="18" t="s">
        <v>14</v>
      </c>
      <c r="C19" s="18"/>
      <c r="D19" s="18"/>
      <c r="E19" s="18"/>
      <c r="F19" s="18"/>
      <c r="G19" s="18"/>
      <c r="H19" s="18"/>
      <c r="I19" s="18"/>
      <c r="J19" s="18">
        <f>SUM(J17:J18)</f>
        <v>18</v>
      </c>
      <c r="K19" s="21">
        <f>SUM(K17:K18)</f>
        <v>7220692.3300000001</v>
      </c>
    </row>
  </sheetData>
  <mergeCells count="4">
    <mergeCell ref="J1:L1"/>
    <mergeCell ref="M1:O1"/>
    <mergeCell ref="B1:B2"/>
    <mergeCell ref="A1: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C335-6AE2-4A63-81DD-F261E310191E}">
  <dimension ref="A1:F22"/>
  <sheetViews>
    <sheetView topLeftCell="A3" workbookViewId="0">
      <selection activeCell="B22" sqref="B22"/>
    </sheetView>
  </sheetViews>
  <sheetFormatPr defaultRowHeight="14.5" x14ac:dyDescent="0.35"/>
  <cols>
    <col min="1" max="1" width="5.08984375" customWidth="1"/>
    <col min="2" max="2" width="16" bestFit="1" customWidth="1"/>
    <col min="3" max="3" width="35.7265625" bestFit="1" customWidth="1"/>
    <col min="4" max="4" width="16.26953125" bestFit="1" customWidth="1"/>
    <col min="5" max="5" width="16.1796875" bestFit="1" customWidth="1"/>
    <col min="6" max="6" width="11.90625" bestFit="1" customWidth="1"/>
  </cols>
  <sheetData>
    <row r="1" spans="1:6" x14ac:dyDescent="0.35">
      <c r="A1" s="14" t="s">
        <v>113</v>
      </c>
      <c r="B1" s="14"/>
    </row>
    <row r="2" spans="1:6" x14ac:dyDescent="0.35">
      <c r="A2" s="25"/>
      <c r="B2" s="25"/>
    </row>
    <row r="3" spans="1:6" x14ac:dyDescent="0.35">
      <c r="A3" s="8" t="s">
        <v>112</v>
      </c>
      <c r="B3" s="8" t="s">
        <v>108</v>
      </c>
      <c r="C3" s="8" t="s">
        <v>1</v>
      </c>
      <c r="D3" s="8" t="s">
        <v>99</v>
      </c>
      <c r="E3" s="8" t="s">
        <v>89</v>
      </c>
      <c r="F3" s="8" t="s">
        <v>111</v>
      </c>
    </row>
    <row r="4" spans="1:6" x14ac:dyDescent="0.35">
      <c r="A4" s="9">
        <v>1</v>
      </c>
      <c r="B4" s="9" t="s">
        <v>109</v>
      </c>
      <c r="C4" s="9" t="s">
        <v>38</v>
      </c>
      <c r="D4" s="12">
        <v>816755.92999999993</v>
      </c>
      <c r="E4" s="12">
        <v>816755.92999999993</v>
      </c>
      <c r="F4" s="32">
        <f>E4/$E$22</f>
        <v>0.11618922734224055</v>
      </c>
    </row>
    <row r="5" spans="1:6" x14ac:dyDescent="0.35">
      <c r="A5" s="9">
        <v>2</v>
      </c>
      <c r="B5" s="9" t="s">
        <v>109</v>
      </c>
      <c r="C5" s="9" t="s">
        <v>39</v>
      </c>
      <c r="D5" s="12">
        <v>569532</v>
      </c>
      <c r="E5" s="12">
        <v>569532</v>
      </c>
      <c r="F5" s="32">
        <f t="shared" ref="F5:F21" si="0">E5/$E$22</f>
        <v>8.1019899086231251E-2</v>
      </c>
    </row>
    <row r="6" spans="1:6" x14ac:dyDescent="0.35">
      <c r="A6" s="9">
        <v>3</v>
      </c>
      <c r="B6" s="9" t="s">
        <v>109</v>
      </c>
      <c r="C6" s="9" t="s">
        <v>40</v>
      </c>
      <c r="D6" s="12">
        <v>952822</v>
      </c>
      <c r="E6" s="12">
        <v>694999.34</v>
      </c>
      <c r="F6" s="32">
        <f t="shared" si="0"/>
        <v>9.8868503247925163E-2</v>
      </c>
    </row>
    <row r="7" spans="1:6" x14ac:dyDescent="0.35">
      <c r="A7" s="9">
        <v>4</v>
      </c>
      <c r="B7" s="9" t="s">
        <v>109</v>
      </c>
      <c r="C7" s="9" t="s">
        <v>41</v>
      </c>
      <c r="D7" s="12">
        <v>297936</v>
      </c>
      <c r="E7" s="12">
        <v>259794.06</v>
      </c>
      <c r="F7" s="32">
        <f t="shared" si="0"/>
        <v>3.6957516916349395E-2</v>
      </c>
    </row>
    <row r="8" spans="1:6" x14ac:dyDescent="0.35">
      <c r="A8" s="9">
        <v>5</v>
      </c>
      <c r="B8" s="9" t="s">
        <v>109</v>
      </c>
      <c r="C8" s="9" t="s">
        <v>42</v>
      </c>
      <c r="D8" s="12">
        <v>243731</v>
      </c>
      <c r="E8" s="12">
        <v>205380</v>
      </c>
      <c r="F8" s="32">
        <f t="shared" si="0"/>
        <v>2.9216737381446825E-2</v>
      </c>
    </row>
    <row r="9" spans="1:6" x14ac:dyDescent="0.35">
      <c r="A9" s="9">
        <v>6</v>
      </c>
      <c r="B9" s="9" t="s">
        <v>109</v>
      </c>
      <c r="C9" s="9" t="s">
        <v>43</v>
      </c>
      <c r="D9" s="12">
        <v>2988222.17</v>
      </c>
      <c r="E9" s="12">
        <v>1849053</v>
      </c>
      <c r="F9" s="32">
        <f t="shared" si="0"/>
        <v>0.26304068509775241</v>
      </c>
    </row>
    <row r="10" spans="1:6" x14ac:dyDescent="0.35">
      <c r="A10" s="9">
        <v>7</v>
      </c>
      <c r="B10" s="9" t="s">
        <v>109</v>
      </c>
      <c r="C10" s="9" t="s">
        <v>44</v>
      </c>
      <c r="D10" s="12">
        <v>633000</v>
      </c>
      <c r="E10" s="12">
        <v>561000</v>
      </c>
      <c r="F10" s="32">
        <f t="shared" si="0"/>
        <v>7.9806162581515572E-2</v>
      </c>
    </row>
    <row r="11" spans="1:6" x14ac:dyDescent="0.35">
      <c r="A11" s="9">
        <v>1</v>
      </c>
      <c r="B11" s="9" t="s">
        <v>110</v>
      </c>
      <c r="C11" s="9" t="s">
        <v>6</v>
      </c>
      <c r="D11" s="12">
        <v>197757</v>
      </c>
      <c r="E11" s="13">
        <v>156196</v>
      </c>
      <c r="F11" s="32">
        <f t="shared" si="0"/>
        <v>2.2219970357544395E-2</v>
      </c>
    </row>
    <row r="12" spans="1:6" x14ac:dyDescent="0.35">
      <c r="A12" s="9">
        <v>2</v>
      </c>
      <c r="B12" s="9" t="s">
        <v>110</v>
      </c>
      <c r="C12" s="9" t="s">
        <v>7</v>
      </c>
      <c r="D12" s="12">
        <v>125031</v>
      </c>
      <c r="E12" s="13">
        <v>84000</v>
      </c>
      <c r="F12" s="32">
        <f t="shared" si="0"/>
        <v>1.1949585841082546E-2</v>
      </c>
    </row>
    <row r="13" spans="1:6" x14ac:dyDescent="0.35">
      <c r="A13" s="9">
        <v>3</v>
      </c>
      <c r="B13" s="9" t="s">
        <v>110</v>
      </c>
      <c r="C13" s="9" t="s">
        <v>8</v>
      </c>
      <c r="D13" s="12">
        <v>486464</v>
      </c>
      <c r="E13" s="13">
        <v>360000</v>
      </c>
      <c r="F13" s="32">
        <f t="shared" si="0"/>
        <v>5.1212510747496623E-2</v>
      </c>
    </row>
    <row r="14" spans="1:6" x14ac:dyDescent="0.35">
      <c r="A14" s="9">
        <v>4</v>
      </c>
      <c r="B14" s="9" t="s">
        <v>110</v>
      </c>
      <c r="C14" s="9" t="s">
        <v>57</v>
      </c>
      <c r="D14" s="12">
        <v>231578</v>
      </c>
      <c r="E14" s="13">
        <v>187000</v>
      </c>
      <c r="F14" s="32">
        <f t="shared" si="0"/>
        <v>2.6602054193838525E-2</v>
      </c>
    </row>
    <row r="15" spans="1:6" x14ac:dyDescent="0.35">
      <c r="A15" s="9">
        <v>5</v>
      </c>
      <c r="B15" s="9" t="s">
        <v>110</v>
      </c>
      <c r="C15" s="9" t="s">
        <v>9</v>
      </c>
      <c r="D15" s="12">
        <v>149670</v>
      </c>
      <c r="E15" s="13">
        <v>99333</v>
      </c>
      <c r="F15" s="32">
        <f t="shared" si="0"/>
        <v>1.4130812028003006E-2</v>
      </c>
    </row>
    <row r="16" spans="1:6" x14ac:dyDescent="0.35">
      <c r="A16" s="9">
        <v>6</v>
      </c>
      <c r="B16" s="9" t="s">
        <v>110</v>
      </c>
      <c r="C16" s="9" t="s">
        <v>10</v>
      </c>
      <c r="D16" s="12">
        <v>315426</v>
      </c>
      <c r="E16" s="13">
        <v>253166</v>
      </c>
      <c r="F16" s="32">
        <f t="shared" si="0"/>
        <v>3.6014629155279809E-2</v>
      </c>
    </row>
    <row r="17" spans="1:6" x14ac:dyDescent="0.35">
      <c r="A17" s="9">
        <v>7</v>
      </c>
      <c r="B17" s="9" t="s">
        <v>110</v>
      </c>
      <c r="C17" s="9" t="s">
        <v>11</v>
      </c>
      <c r="D17" s="12">
        <v>153186</v>
      </c>
      <c r="E17" s="13">
        <v>103500</v>
      </c>
      <c r="F17" s="32">
        <f t="shared" si="0"/>
        <v>1.4723596839905279E-2</v>
      </c>
    </row>
    <row r="18" spans="1:6" x14ac:dyDescent="0.35">
      <c r="A18" s="9">
        <v>1</v>
      </c>
      <c r="B18" s="9" t="s">
        <v>110</v>
      </c>
      <c r="C18" s="9" t="s">
        <v>27</v>
      </c>
      <c r="D18" s="12">
        <v>649600</v>
      </c>
      <c r="E18" s="13">
        <v>580000</v>
      </c>
      <c r="F18" s="32">
        <f t="shared" si="0"/>
        <v>8.2509045093189001E-2</v>
      </c>
    </row>
    <row r="19" spans="1:6" x14ac:dyDescent="0.35">
      <c r="A19" s="9">
        <v>2</v>
      </c>
      <c r="B19" s="9" t="s">
        <v>110</v>
      </c>
      <c r="C19" s="9" t="s">
        <v>28</v>
      </c>
      <c r="D19" s="12">
        <v>194208</v>
      </c>
      <c r="E19" s="13">
        <v>142800</v>
      </c>
      <c r="F19" s="32">
        <f t="shared" si="0"/>
        <v>2.0314295929840329E-2</v>
      </c>
    </row>
    <row r="20" spans="1:6" x14ac:dyDescent="0.35">
      <c r="A20" s="9">
        <v>3</v>
      </c>
      <c r="B20" s="9" t="s">
        <v>110</v>
      </c>
      <c r="C20" s="9" t="s">
        <v>29</v>
      </c>
      <c r="D20" s="12">
        <v>56640</v>
      </c>
      <c r="E20" s="13">
        <v>48000</v>
      </c>
      <c r="F20" s="32">
        <f t="shared" si="0"/>
        <v>6.8283347663328836E-3</v>
      </c>
    </row>
    <row r="21" spans="1:6" x14ac:dyDescent="0.35">
      <c r="A21" s="9">
        <v>1</v>
      </c>
      <c r="B21" s="9" t="s">
        <v>110</v>
      </c>
      <c r="C21" s="9" t="s">
        <v>114</v>
      </c>
      <c r="D21" s="12">
        <f>Employees!H13</f>
        <v>59023</v>
      </c>
      <c r="E21" s="13">
        <f>D21</f>
        <v>59023</v>
      </c>
      <c r="F21" s="32">
        <f t="shared" si="0"/>
        <v>8.3964333940263706E-3</v>
      </c>
    </row>
    <row r="22" spans="1:6" x14ac:dyDescent="0.35">
      <c r="A22" s="8"/>
      <c r="B22" s="8"/>
      <c r="C22" s="8" t="s">
        <v>14</v>
      </c>
      <c r="D22" s="15">
        <f>SUM(D4:D21)</f>
        <v>9120582.0999999996</v>
      </c>
      <c r="E22" s="15">
        <f>SUM(E4:E21)</f>
        <v>7029532.3300000001</v>
      </c>
      <c r="F22" s="31">
        <f>SUM(F4:F21)</f>
        <v>1.0000000000000002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AB23-B92F-4099-AED5-6B3C507794B5}">
  <dimension ref="A1:O32"/>
  <sheetViews>
    <sheetView tabSelected="1" topLeftCell="A10" workbookViewId="0">
      <selection activeCell="A32" sqref="A32"/>
    </sheetView>
  </sheetViews>
  <sheetFormatPr defaultRowHeight="14.5" x14ac:dyDescent="0.35"/>
  <cols>
    <col min="1" max="1" width="9.08984375" bestFit="1" customWidth="1"/>
    <col min="2" max="2" width="35.7265625" bestFit="1" customWidth="1"/>
    <col min="3" max="3" width="13.6328125" customWidth="1"/>
    <col min="4" max="4" width="15.54296875" bestFit="1" customWidth="1"/>
    <col min="5" max="5" width="16.7265625" bestFit="1" customWidth="1"/>
    <col min="6" max="7" width="14.7265625" bestFit="1" customWidth="1"/>
    <col min="8" max="8" width="13.7265625" bestFit="1" customWidth="1"/>
    <col min="9" max="9" width="14.7265625" bestFit="1" customWidth="1"/>
    <col min="10" max="10" width="12.36328125" bestFit="1" customWidth="1"/>
    <col min="11" max="11" width="12.1796875" customWidth="1"/>
    <col min="12" max="12" width="34.7265625" bestFit="1" customWidth="1"/>
  </cols>
  <sheetData>
    <row r="1" spans="1:15" s="1" customFormat="1" x14ac:dyDescent="0.35">
      <c r="A1" s="14" t="s">
        <v>0</v>
      </c>
      <c r="B1" s="14" t="s">
        <v>1</v>
      </c>
      <c r="C1" s="14" t="s">
        <v>2</v>
      </c>
      <c r="D1" s="14" t="s">
        <v>12</v>
      </c>
      <c r="E1" s="14" t="s">
        <v>45</v>
      </c>
      <c r="F1" s="14" t="s">
        <v>13</v>
      </c>
      <c r="G1" s="14" t="s">
        <v>14</v>
      </c>
      <c r="H1" s="14" t="s">
        <v>12</v>
      </c>
      <c r="I1" s="14" t="s">
        <v>106</v>
      </c>
      <c r="J1" s="14" t="s">
        <v>14</v>
      </c>
      <c r="K1" s="14" t="s">
        <v>58</v>
      </c>
      <c r="L1" s="14" t="s">
        <v>46</v>
      </c>
    </row>
    <row r="2" spans="1:15" x14ac:dyDescent="0.35">
      <c r="A2" s="25">
        <v>1</v>
      </c>
      <c r="B2" s="25" t="s">
        <v>38</v>
      </c>
      <c r="C2" s="26">
        <v>44511</v>
      </c>
      <c r="D2" s="27">
        <v>691594</v>
      </c>
      <c r="E2" s="27">
        <v>0</v>
      </c>
      <c r="F2" s="27">
        <v>125161.93</v>
      </c>
      <c r="G2" s="27">
        <f>D2+E2+F2</f>
        <v>816755.92999999993</v>
      </c>
      <c r="H2" s="27">
        <f>D2</f>
        <v>691594</v>
      </c>
      <c r="I2" s="27">
        <f t="shared" ref="I2" si="0">F2</f>
        <v>125161.93</v>
      </c>
      <c r="J2" s="27">
        <f t="shared" ref="J2:J9" si="1">H2+I2</f>
        <v>816755.92999999993</v>
      </c>
      <c r="K2" s="27" t="s">
        <v>59</v>
      </c>
      <c r="L2" s="25" t="s">
        <v>47</v>
      </c>
      <c r="O2">
        <v>816756</v>
      </c>
    </row>
    <row r="3" spans="1:15" x14ac:dyDescent="0.35">
      <c r="A3" s="25">
        <v>2</v>
      </c>
      <c r="B3" s="25" t="s">
        <v>39</v>
      </c>
      <c r="C3" s="26">
        <v>44462</v>
      </c>
      <c r="D3" s="27">
        <v>569532</v>
      </c>
      <c r="E3" s="27">
        <v>0</v>
      </c>
      <c r="F3" s="27">
        <v>0</v>
      </c>
      <c r="G3" s="27">
        <f t="shared" ref="G3:G9" si="2">D3+E3+F3</f>
        <v>569532</v>
      </c>
      <c r="H3" s="28">
        <f>D3</f>
        <v>569532</v>
      </c>
      <c r="I3" s="28">
        <v>0</v>
      </c>
      <c r="J3" s="27">
        <f t="shared" si="1"/>
        <v>569532</v>
      </c>
      <c r="K3" s="27" t="s">
        <v>59</v>
      </c>
      <c r="L3" s="25" t="s">
        <v>47</v>
      </c>
    </row>
    <row r="4" spans="1:15" ht="28.5" x14ac:dyDescent="0.35">
      <c r="A4" s="25">
        <v>3</v>
      </c>
      <c r="B4" s="25" t="s">
        <v>40</v>
      </c>
      <c r="C4" s="26">
        <v>44419</v>
      </c>
      <c r="D4" s="27">
        <v>528738</v>
      </c>
      <c r="E4" s="27">
        <v>424084</v>
      </c>
      <c r="F4" s="27">
        <v>0</v>
      </c>
      <c r="G4" s="27">
        <f t="shared" si="2"/>
        <v>952822</v>
      </c>
      <c r="H4" s="28">
        <f>'Working Notes'!F23</f>
        <v>548991.12</v>
      </c>
      <c r="I4" s="27">
        <f>'Working Notes'!H23</f>
        <v>146008.21999999997</v>
      </c>
      <c r="J4" s="27">
        <f t="shared" si="1"/>
        <v>694999.34</v>
      </c>
      <c r="K4" s="27" t="s">
        <v>85</v>
      </c>
      <c r="L4" s="29" t="s">
        <v>81</v>
      </c>
    </row>
    <row r="5" spans="1:15" ht="28.5" x14ac:dyDescent="0.35">
      <c r="A5" s="25">
        <v>4</v>
      </c>
      <c r="B5" s="25" t="s">
        <v>41</v>
      </c>
      <c r="C5" s="26">
        <v>44419</v>
      </c>
      <c r="D5" s="27">
        <v>241216</v>
      </c>
      <c r="E5" s="27">
        <v>56720</v>
      </c>
      <c r="F5" s="27">
        <v>0</v>
      </c>
      <c r="G5" s="27">
        <f t="shared" si="2"/>
        <v>297936</v>
      </c>
      <c r="H5" s="28">
        <f>'Working Notes'!F24</f>
        <v>259794.06</v>
      </c>
      <c r="I5" s="25"/>
      <c r="J5" s="27">
        <f t="shared" si="1"/>
        <v>259794.06</v>
      </c>
      <c r="K5" s="27" t="s">
        <v>85</v>
      </c>
      <c r="L5" s="29" t="s">
        <v>81</v>
      </c>
    </row>
    <row r="6" spans="1:15" ht="28.5" x14ac:dyDescent="0.35">
      <c r="A6" s="25">
        <v>5</v>
      </c>
      <c r="B6" s="25" t="s">
        <v>42</v>
      </c>
      <c r="C6" s="26">
        <v>44419</v>
      </c>
      <c r="D6" s="27">
        <v>187011</v>
      </c>
      <c r="E6" s="27">
        <f>19020+37700</f>
        <v>56720</v>
      </c>
      <c r="F6" s="27">
        <v>0</v>
      </c>
      <c r="G6" s="27">
        <f t="shared" si="2"/>
        <v>243731</v>
      </c>
      <c r="H6" s="28">
        <f>'Working Notes'!F25</f>
        <v>205380</v>
      </c>
      <c r="I6" s="25"/>
      <c r="J6" s="27">
        <f t="shared" si="1"/>
        <v>205380</v>
      </c>
      <c r="K6" s="27" t="s">
        <v>85</v>
      </c>
      <c r="L6" s="29" t="s">
        <v>81</v>
      </c>
    </row>
    <row r="7" spans="1:15" ht="42.5" x14ac:dyDescent="0.35">
      <c r="A7" s="25">
        <v>6</v>
      </c>
      <c r="B7" s="25" t="s">
        <v>43</v>
      </c>
      <c r="C7" s="26">
        <v>44469</v>
      </c>
      <c r="D7" s="27">
        <v>2312198</v>
      </c>
      <c r="E7" s="27">
        <v>0</v>
      </c>
      <c r="F7" s="27">
        <v>676024.17</v>
      </c>
      <c r="G7" s="27">
        <f t="shared" si="2"/>
        <v>2988222.17</v>
      </c>
      <c r="H7" s="28">
        <f>'Working Notes'!D15</f>
        <v>1849053</v>
      </c>
      <c r="I7" s="28">
        <v>0</v>
      </c>
      <c r="J7" s="27">
        <f t="shared" si="1"/>
        <v>1849053</v>
      </c>
      <c r="K7" s="27" t="s">
        <v>85</v>
      </c>
      <c r="L7" s="29" t="s">
        <v>82</v>
      </c>
    </row>
    <row r="8" spans="1:15" ht="42.5" x14ac:dyDescent="0.35">
      <c r="A8" s="25">
        <v>7</v>
      </c>
      <c r="B8" s="25" t="s">
        <v>44</v>
      </c>
      <c r="C8" s="26">
        <v>44466</v>
      </c>
      <c r="D8" s="27">
        <v>561000</v>
      </c>
      <c r="E8" s="27">
        <f>22500+49500</f>
        <v>72000</v>
      </c>
      <c r="F8" s="27">
        <v>0</v>
      </c>
      <c r="G8" s="27">
        <f t="shared" si="2"/>
        <v>633000</v>
      </c>
      <c r="H8" s="27">
        <f>D8</f>
        <v>561000</v>
      </c>
      <c r="I8" s="27">
        <v>0</v>
      </c>
      <c r="J8" s="27">
        <f t="shared" si="1"/>
        <v>561000</v>
      </c>
      <c r="K8" s="27" t="s">
        <v>59</v>
      </c>
      <c r="L8" s="29" t="s">
        <v>84</v>
      </c>
    </row>
    <row r="9" spans="1:15" x14ac:dyDescent="0.35">
      <c r="A9" s="25">
        <v>8</v>
      </c>
      <c r="B9" s="25" t="s">
        <v>117</v>
      </c>
      <c r="C9" s="26">
        <v>44743</v>
      </c>
      <c r="D9" s="27">
        <v>191160</v>
      </c>
      <c r="E9" s="27">
        <v>0</v>
      </c>
      <c r="F9" s="27">
        <v>103224</v>
      </c>
      <c r="G9" s="27">
        <f t="shared" si="2"/>
        <v>294384</v>
      </c>
      <c r="H9" s="27">
        <f>D9</f>
        <v>191160</v>
      </c>
      <c r="I9" s="27">
        <v>0</v>
      </c>
      <c r="J9" s="27">
        <f t="shared" si="1"/>
        <v>191160</v>
      </c>
      <c r="K9" s="27" t="s">
        <v>118</v>
      </c>
      <c r="L9" s="29"/>
    </row>
    <row r="10" spans="1:15" s="1" customFormat="1" x14ac:dyDescent="0.35">
      <c r="A10" s="14"/>
      <c r="B10" s="14"/>
      <c r="C10" s="14"/>
      <c r="D10" s="30">
        <f t="shared" ref="D10:J10" si="3">SUM(D2:D9)</f>
        <v>5282449</v>
      </c>
      <c r="E10" s="30">
        <f t="shared" si="3"/>
        <v>609524</v>
      </c>
      <c r="F10" s="30">
        <f t="shared" si="3"/>
        <v>904410.10000000009</v>
      </c>
      <c r="G10" s="30">
        <f t="shared" si="3"/>
        <v>6796383.0999999996</v>
      </c>
      <c r="H10" s="30">
        <f t="shared" si="3"/>
        <v>4876504.18</v>
      </c>
      <c r="I10" s="30">
        <f t="shared" si="3"/>
        <v>271170.14999999997</v>
      </c>
      <c r="J10" s="30">
        <f t="shared" si="3"/>
        <v>5147674.33</v>
      </c>
      <c r="K10" s="14"/>
      <c r="L10" s="14"/>
    </row>
    <row r="15" spans="1:15" x14ac:dyDescent="0.35">
      <c r="A15" s="8" t="s">
        <v>0</v>
      </c>
      <c r="B15" s="8" t="s">
        <v>1</v>
      </c>
      <c r="C15" s="8" t="s">
        <v>12</v>
      </c>
      <c r="D15" s="8" t="s">
        <v>45</v>
      </c>
      <c r="E15" s="8" t="s">
        <v>14</v>
      </c>
      <c r="F15" s="8" t="s">
        <v>12</v>
      </c>
      <c r="G15" s="8" t="s">
        <v>45</v>
      </c>
      <c r="H15" s="8" t="s">
        <v>14</v>
      </c>
    </row>
    <row r="16" spans="1:15" x14ac:dyDescent="0.35">
      <c r="A16" s="9">
        <v>1</v>
      </c>
      <c r="B16" s="9" t="s">
        <v>40</v>
      </c>
      <c r="C16" s="17">
        <v>528738</v>
      </c>
      <c r="D16" s="17">
        <v>424084</v>
      </c>
      <c r="E16" s="17">
        <v>952822</v>
      </c>
      <c r="F16" s="17">
        <f>H4</f>
        <v>548991.12</v>
      </c>
      <c r="G16" s="17">
        <f>I4</f>
        <v>146008.21999999997</v>
      </c>
      <c r="H16" s="17">
        <f>F16+G16</f>
        <v>694999.34</v>
      </c>
    </row>
    <row r="17" spans="1:9" x14ac:dyDescent="0.35">
      <c r="A17" s="9">
        <v>2</v>
      </c>
      <c r="B17" s="9" t="s">
        <v>41</v>
      </c>
      <c r="C17" s="17">
        <v>241216</v>
      </c>
      <c r="D17" s="17">
        <v>56720</v>
      </c>
      <c r="E17" s="17">
        <v>297936</v>
      </c>
      <c r="F17" s="17">
        <v>259794.06</v>
      </c>
      <c r="G17" s="17">
        <v>0</v>
      </c>
      <c r="H17" s="17">
        <f>F17+G17</f>
        <v>259794.06</v>
      </c>
    </row>
    <row r="18" spans="1:9" x14ac:dyDescent="0.35">
      <c r="A18" s="9">
        <v>3</v>
      </c>
      <c r="B18" s="9" t="s">
        <v>42</v>
      </c>
      <c r="C18" s="17">
        <v>187011</v>
      </c>
      <c r="D18" s="17">
        <v>56720</v>
      </c>
      <c r="E18" s="17">
        <v>243731</v>
      </c>
      <c r="F18" s="17">
        <v>205380</v>
      </c>
      <c r="G18" s="17">
        <v>0</v>
      </c>
      <c r="H18" s="17">
        <f>F18+G18</f>
        <v>205380</v>
      </c>
    </row>
    <row r="19" spans="1:9" s="1" customFormat="1" x14ac:dyDescent="0.35">
      <c r="A19" s="8"/>
      <c r="B19" s="8" t="s">
        <v>14</v>
      </c>
      <c r="C19" s="24">
        <f>SUM(C16:C18)</f>
        <v>956965</v>
      </c>
      <c r="D19" s="24">
        <f t="shared" ref="D19:H19" si="4">SUM(D16:D18)</f>
        <v>537524</v>
      </c>
      <c r="E19" s="24">
        <f t="shared" si="4"/>
        <v>1494489</v>
      </c>
      <c r="F19" s="24">
        <f t="shared" si="4"/>
        <v>1014165.1799999999</v>
      </c>
      <c r="G19" s="24">
        <f t="shared" si="4"/>
        <v>146008.21999999997</v>
      </c>
      <c r="H19" s="24">
        <f t="shared" si="4"/>
        <v>1160173.3999999999</v>
      </c>
    </row>
    <row r="24" spans="1:9" x14ac:dyDescent="0.35">
      <c r="A24" s="8" t="s">
        <v>0</v>
      </c>
      <c r="B24" s="8" t="s">
        <v>1</v>
      </c>
      <c r="C24" s="8" t="s">
        <v>2</v>
      </c>
      <c r="D24" s="8" t="s">
        <v>12</v>
      </c>
      <c r="E24" s="8" t="s">
        <v>107</v>
      </c>
      <c r="F24" s="8" t="s">
        <v>14</v>
      </c>
      <c r="G24" s="8" t="s">
        <v>12</v>
      </c>
      <c r="H24" s="8" t="s">
        <v>106</v>
      </c>
      <c r="I24" s="8" t="s">
        <v>14</v>
      </c>
    </row>
    <row r="25" spans="1:9" x14ac:dyDescent="0.35">
      <c r="A25" s="9">
        <v>1</v>
      </c>
      <c r="B25" s="9" t="s">
        <v>38</v>
      </c>
      <c r="C25" s="10">
        <v>44511</v>
      </c>
      <c r="D25" s="12">
        <v>691594</v>
      </c>
      <c r="E25" s="12">
        <v>125161.93</v>
      </c>
      <c r="F25" s="12">
        <v>816755.92999999993</v>
      </c>
      <c r="G25" s="12">
        <v>691594</v>
      </c>
      <c r="H25" s="12">
        <v>125161.93</v>
      </c>
      <c r="I25" s="12">
        <v>816755.92999999993</v>
      </c>
    </row>
    <row r="26" spans="1:9" x14ac:dyDescent="0.35">
      <c r="A26" s="9">
        <v>2</v>
      </c>
      <c r="B26" s="9" t="s">
        <v>39</v>
      </c>
      <c r="C26" s="10">
        <v>44462</v>
      </c>
      <c r="D26" s="12">
        <v>569532</v>
      </c>
      <c r="E26" s="12">
        <v>0</v>
      </c>
      <c r="F26" s="12">
        <v>569532</v>
      </c>
      <c r="G26" s="13">
        <v>569532</v>
      </c>
      <c r="H26" s="13">
        <v>0</v>
      </c>
      <c r="I26" s="12">
        <v>569532</v>
      </c>
    </row>
    <row r="27" spans="1:9" x14ac:dyDescent="0.35">
      <c r="A27" s="9">
        <v>3</v>
      </c>
      <c r="B27" s="9" t="s">
        <v>40</v>
      </c>
      <c r="C27" s="10">
        <v>44419</v>
      </c>
      <c r="D27" s="12">
        <v>528738</v>
      </c>
      <c r="E27" s="12">
        <v>424084</v>
      </c>
      <c r="F27" s="12">
        <v>952822</v>
      </c>
      <c r="G27" s="13">
        <v>548991.12</v>
      </c>
      <c r="H27" s="12">
        <v>146008.21999999997</v>
      </c>
      <c r="I27" s="12">
        <v>694999.34</v>
      </c>
    </row>
    <row r="28" spans="1:9" x14ac:dyDescent="0.35">
      <c r="A28" s="9">
        <v>4</v>
      </c>
      <c r="B28" s="9" t="s">
        <v>41</v>
      </c>
      <c r="C28" s="10">
        <v>44419</v>
      </c>
      <c r="D28" s="12">
        <v>241216</v>
      </c>
      <c r="E28" s="12">
        <v>56720</v>
      </c>
      <c r="F28" s="12">
        <v>297936</v>
      </c>
      <c r="G28" s="13">
        <v>259794.06</v>
      </c>
      <c r="H28" s="13"/>
      <c r="I28" s="12">
        <v>259794.06</v>
      </c>
    </row>
    <row r="29" spans="1:9" x14ac:dyDescent="0.35">
      <c r="A29" s="9">
        <v>5</v>
      </c>
      <c r="B29" s="9" t="s">
        <v>42</v>
      </c>
      <c r="C29" s="10">
        <v>44419</v>
      </c>
      <c r="D29" s="12">
        <v>187011</v>
      </c>
      <c r="E29" s="12">
        <v>56720</v>
      </c>
      <c r="F29" s="12">
        <v>243731</v>
      </c>
      <c r="G29" s="13">
        <v>205380</v>
      </c>
      <c r="H29" s="13"/>
      <c r="I29" s="12">
        <v>205380</v>
      </c>
    </row>
    <row r="30" spans="1:9" x14ac:dyDescent="0.35">
      <c r="A30" s="9">
        <v>6</v>
      </c>
      <c r="B30" s="9" t="s">
        <v>43</v>
      </c>
      <c r="C30" s="10">
        <v>44469</v>
      </c>
      <c r="D30" s="12">
        <v>2312198</v>
      </c>
      <c r="E30" s="12">
        <v>676024.17</v>
      </c>
      <c r="F30" s="12">
        <v>2988222.17</v>
      </c>
      <c r="G30" s="13">
        <v>1849053</v>
      </c>
      <c r="H30" s="13">
        <v>0</v>
      </c>
      <c r="I30" s="12">
        <v>1849053</v>
      </c>
    </row>
    <row r="31" spans="1:9" x14ac:dyDescent="0.35">
      <c r="A31" s="9">
        <v>7</v>
      </c>
      <c r="B31" s="9" t="s">
        <v>44</v>
      </c>
      <c r="C31" s="10">
        <v>44466</v>
      </c>
      <c r="D31" s="12">
        <v>561000</v>
      </c>
      <c r="E31" s="12">
        <v>72000</v>
      </c>
      <c r="F31" s="12">
        <v>633000</v>
      </c>
      <c r="G31" s="12">
        <v>561000</v>
      </c>
      <c r="H31" s="12">
        <v>0</v>
      </c>
      <c r="I31" s="12">
        <v>561000</v>
      </c>
    </row>
    <row r="32" spans="1:9" s="1" customFormat="1" x14ac:dyDescent="0.35">
      <c r="A32" s="8"/>
      <c r="B32" s="8" t="s">
        <v>14</v>
      </c>
      <c r="C32" s="8"/>
      <c r="D32" s="15">
        <f>SUM(D25:D31)</f>
        <v>5091289</v>
      </c>
      <c r="E32" s="15">
        <f t="shared" ref="E32:F32" si="5">SUM(E25:E31)</f>
        <v>1410710.1</v>
      </c>
      <c r="F32" s="15">
        <f t="shared" si="5"/>
        <v>6501999.0999999996</v>
      </c>
      <c r="G32" s="15">
        <f>SUM(G25:G31)</f>
        <v>4685344.18</v>
      </c>
      <c r="H32" s="15">
        <f>SUM(H25:H31)</f>
        <v>271170.14999999997</v>
      </c>
      <c r="I32" s="15">
        <f>SUM(I25:I31)</f>
        <v>4956514.33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29B2-DB7F-4C8E-9252-F935074FD90F}">
  <dimension ref="A1:N41"/>
  <sheetViews>
    <sheetView workbookViewId="0">
      <selection activeCell="B13" sqref="B13"/>
    </sheetView>
  </sheetViews>
  <sheetFormatPr defaultRowHeight="14.5" x14ac:dyDescent="0.35"/>
  <cols>
    <col min="2" max="2" width="107.453125" bestFit="1" customWidth="1"/>
    <col min="3" max="3" width="26.7265625" bestFit="1" customWidth="1"/>
    <col min="4" max="4" width="12.36328125" bestFit="1" customWidth="1"/>
    <col min="5" max="5" width="11.1796875" bestFit="1" customWidth="1"/>
    <col min="6" max="7" width="12.1796875" bestFit="1" customWidth="1"/>
    <col min="8" max="8" width="12.1796875" customWidth="1"/>
    <col min="10" max="11" width="11.1796875" bestFit="1" customWidth="1"/>
    <col min="14" max="14" width="11.1796875" bestFit="1" customWidth="1"/>
  </cols>
  <sheetData>
    <row r="1" spans="1:6" x14ac:dyDescent="0.35">
      <c r="A1" t="s">
        <v>63</v>
      </c>
    </row>
    <row r="2" spans="1:6" x14ac:dyDescent="0.35">
      <c r="A2" t="s">
        <v>61</v>
      </c>
      <c r="B2" t="s">
        <v>58</v>
      </c>
      <c r="C2" s="3"/>
    </row>
    <row r="3" spans="1:6" x14ac:dyDescent="0.35">
      <c r="A3">
        <v>1</v>
      </c>
      <c r="B3" t="s">
        <v>60</v>
      </c>
    </row>
    <row r="4" spans="1:6" x14ac:dyDescent="0.35">
      <c r="A4">
        <v>2</v>
      </c>
      <c r="B4" t="s">
        <v>62</v>
      </c>
    </row>
    <row r="5" spans="1:6" x14ac:dyDescent="0.35">
      <c r="A5">
        <v>3</v>
      </c>
      <c r="B5" t="s">
        <v>83</v>
      </c>
      <c r="C5" t="s">
        <v>64</v>
      </c>
      <c r="D5" s="2">
        <v>1700000</v>
      </c>
    </row>
    <row r="6" spans="1:6" x14ac:dyDescent="0.35">
      <c r="A6">
        <v>4</v>
      </c>
      <c r="B6" t="s">
        <v>91</v>
      </c>
      <c r="C6" t="s">
        <v>65</v>
      </c>
      <c r="D6" s="2">
        <v>704557</v>
      </c>
    </row>
    <row r="7" spans="1:6" x14ac:dyDescent="0.35">
      <c r="C7" s="6" t="s">
        <v>66</v>
      </c>
      <c r="D7" s="2">
        <f>D5*0.08</f>
        <v>136000</v>
      </c>
    </row>
    <row r="8" spans="1:6" x14ac:dyDescent="0.35">
      <c r="C8" t="s">
        <v>14</v>
      </c>
      <c r="D8" s="2">
        <f>SUM(D5:D7)</f>
        <v>2540557</v>
      </c>
    </row>
    <row r="9" spans="1:6" x14ac:dyDescent="0.35">
      <c r="C9" t="s">
        <v>67</v>
      </c>
      <c r="D9" s="2">
        <v>1484504</v>
      </c>
      <c r="F9" s="4"/>
    </row>
    <row r="10" spans="1:6" x14ac:dyDescent="0.35">
      <c r="C10" t="s">
        <v>67</v>
      </c>
      <c r="D10" s="2">
        <v>232000</v>
      </c>
    </row>
    <row r="11" spans="1:6" x14ac:dyDescent="0.35">
      <c r="C11" s="1" t="s">
        <v>68</v>
      </c>
      <c r="D11" s="7">
        <f>D8-D9-D10</f>
        <v>824053</v>
      </c>
    </row>
    <row r="12" spans="1:6" x14ac:dyDescent="0.35">
      <c r="C12" t="s">
        <v>69</v>
      </c>
      <c r="D12" s="2">
        <v>100000</v>
      </c>
      <c r="E12">
        <v>1000000</v>
      </c>
      <c r="F12" s="4">
        <f>D12+E12</f>
        <v>1100000</v>
      </c>
    </row>
    <row r="13" spans="1:6" x14ac:dyDescent="0.35">
      <c r="C13" t="s">
        <v>93</v>
      </c>
      <c r="D13" s="2">
        <f>D11-D12</f>
        <v>724053</v>
      </c>
      <c r="F13" s="4"/>
    </row>
    <row r="14" spans="1:6" x14ac:dyDescent="0.35">
      <c r="C14" t="s">
        <v>92</v>
      </c>
      <c r="D14" s="2">
        <f>225000*5</f>
        <v>1125000</v>
      </c>
    </row>
    <row r="15" spans="1:6" x14ac:dyDescent="0.35">
      <c r="D15" s="4">
        <f>D13+D14</f>
        <v>1849053</v>
      </c>
    </row>
    <row r="16" spans="1:6" x14ac:dyDescent="0.35">
      <c r="A16" s="1" t="s">
        <v>70</v>
      </c>
    </row>
    <row r="17" spans="2:14" x14ac:dyDescent="0.35">
      <c r="B17" t="s">
        <v>71</v>
      </c>
    </row>
    <row r="18" spans="2:14" x14ac:dyDescent="0.35">
      <c r="B18" t="s">
        <v>72</v>
      </c>
    </row>
    <row r="19" spans="2:14" x14ac:dyDescent="0.35">
      <c r="C19" t="s">
        <v>77</v>
      </c>
      <c r="D19" t="s">
        <v>78</v>
      </c>
      <c r="E19" t="s">
        <v>79</v>
      </c>
      <c r="F19" t="s">
        <v>80</v>
      </c>
    </row>
    <row r="20" spans="2:14" x14ac:dyDescent="0.35">
      <c r="B20" t="s">
        <v>73</v>
      </c>
      <c r="C20" s="2">
        <f>126788*11</f>
        <v>1394668</v>
      </c>
    </row>
    <row r="21" spans="2:14" x14ac:dyDescent="0.35">
      <c r="C21" s="2"/>
    </row>
    <row r="22" spans="2:14" x14ac:dyDescent="0.35">
      <c r="C22" s="2" t="s">
        <v>94</v>
      </c>
      <c r="D22" t="s">
        <v>95</v>
      </c>
      <c r="E22" t="s">
        <v>67</v>
      </c>
      <c r="F22" t="s">
        <v>96</v>
      </c>
      <c r="G22" t="s">
        <v>105</v>
      </c>
      <c r="H22" t="s">
        <v>97</v>
      </c>
      <c r="I22" t="s">
        <v>98</v>
      </c>
    </row>
    <row r="23" spans="2:14" x14ac:dyDescent="0.35">
      <c r="B23" s="16" t="s">
        <v>74</v>
      </c>
      <c r="C23" s="2">
        <f>C20*50%*1.18</f>
        <v>822854.12</v>
      </c>
      <c r="D23" s="2">
        <v>71757</v>
      </c>
      <c r="E23" s="2">
        <v>345620</v>
      </c>
      <c r="F23" s="2">
        <f>C23+D23-E23</f>
        <v>548991.12</v>
      </c>
      <c r="G23" s="2">
        <v>0</v>
      </c>
      <c r="H23">
        <f>144478.12-4188.64-4154.26+24416-5639-8904</f>
        <v>146008.21999999997</v>
      </c>
      <c r="I23" s="2">
        <v>0</v>
      </c>
      <c r="J23" s="4">
        <f>SUM(F23:I23)</f>
        <v>694999.34</v>
      </c>
      <c r="L23" t="s">
        <v>100</v>
      </c>
      <c r="N23" s="4"/>
    </row>
    <row r="24" spans="2:14" x14ac:dyDescent="0.35">
      <c r="B24" s="16" t="s">
        <v>75</v>
      </c>
      <c r="C24" s="2">
        <f>C20*25%*1.18</f>
        <v>411427.06</v>
      </c>
      <c r="D24" s="2">
        <f>6469+27323</f>
        <v>33792</v>
      </c>
      <c r="E24" s="2">
        <f>168309+17116</f>
        <v>185425</v>
      </c>
      <c r="F24" s="2">
        <f>C24+D24-E24</f>
        <v>259794.06</v>
      </c>
      <c r="G24" s="2">
        <v>0</v>
      </c>
      <c r="H24">
        <v>0</v>
      </c>
      <c r="I24" s="2">
        <v>0</v>
      </c>
      <c r="J24" s="4">
        <f>F24+G24+H24+I24</f>
        <v>259794.06</v>
      </c>
    </row>
    <row r="25" spans="2:14" x14ac:dyDescent="0.35">
      <c r="B25" s="16" t="s">
        <v>76</v>
      </c>
      <c r="C25" s="2">
        <f>C20*25%</f>
        <v>348667</v>
      </c>
      <c r="D25" s="2">
        <v>27320</v>
      </c>
      <c r="E25" s="2">
        <v>170607</v>
      </c>
      <c r="F25" s="2">
        <f>C25+D25-E25</f>
        <v>205380</v>
      </c>
      <c r="G25" s="2">
        <v>0</v>
      </c>
      <c r="H25" s="2">
        <v>0</v>
      </c>
      <c r="I25" s="2">
        <v>0</v>
      </c>
      <c r="J25" s="4">
        <f>F25+G25+H25+I25</f>
        <v>205380</v>
      </c>
    </row>
    <row r="26" spans="2:14" x14ac:dyDescent="0.35">
      <c r="C26" s="4">
        <f>SUM(C23:C25)</f>
        <v>1582948.18</v>
      </c>
      <c r="D26" s="4">
        <f t="shared" ref="D26:E26" si="0">SUM(D23:D25)</f>
        <v>132869</v>
      </c>
      <c r="E26" s="4">
        <f t="shared" si="0"/>
        <v>701652</v>
      </c>
      <c r="F26" s="4">
        <f>SUM(F23:F25)</f>
        <v>1014165.1799999999</v>
      </c>
      <c r="G26" s="4"/>
    </row>
    <row r="32" spans="2:14" x14ac:dyDescent="0.35">
      <c r="C32" s="18" t="s">
        <v>90</v>
      </c>
      <c r="D32" s="18" t="s">
        <v>77</v>
      </c>
    </row>
    <row r="33" spans="3:4" x14ac:dyDescent="0.35">
      <c r="C33" s="19" t="s">
        <v>64</v>
      </c>
      <c r="D33" s="20">
        <v>1700000</v>
      </c>
    </row>
    <row r="34" spans="3:4" x14ac:dyDescent="0.35">
      <c r="C34" s="19" t="s">
        <v>65</v>
      </c>
      <c r="D34" s="20">
        <v>704557</v>
      </c>
    </row>
    <row r="35" spans="3:4" x14ac:dyDescent="0.35">
      <c r="C35" s="22" t="s">
        <v>66</v>
      </c>
      <c r="D35" s="20">
        <f>D33*0.08</f>
        <v>136000</v>
      </c>
    </row>
    <row r="36" spans="3:4" x14ac:dyDescent="0.35">
      <c r="C36" s="19" t="s">
        <v>14</v>
      </c>
      <c r="D36" s="20">
        <f>SUM(D33:D35)</f>
        <v>2540557</v>
      </c>
    </row>
    <row r="37" spans="3:4" x14ac:dyDescent="0.35">
      <c r="C37" s="19" t="s">
        <v>103</v>
      </c>
      <c r="D37" s="20">
        <f>1484504+232000</f>
        <v>1716504</v>
      </c>
    </row>
    <row r="38" spans="3:4" x14ac:dyDescent="0.35">
      <c r="C38" s="19" t="s">
        <v>101</v>
      </c>
      <c r="D38" s="20">
        <v>100000</v>
      </c>
    </row>
    <row r="39" spans="3:4" x14ac:dyDescent="0.35">
      <c r="C39" s="19" t="s">
        <v>102</v>
      </c>
      <c r="D39" s="20">
        <f>D36-D37-D38</f>
        <v>724053</v>
      </c>
    </row>
    <row r="40" spans="3:4" x14ac:dyDescent="0.35">
      <c r="C40" s="19" t="s">
        <v>104</v>
      </c>
      <c r="D40" s="20">
        <f>225000*5</f>
        <v>1125000</v>
      </c>
    </row>
    <row r="41" spans="3:4" x14ac:dyDescent="0.35">
      <c r="C41" s="18" t="s">
        <v>14</v>
      </c>
      <c r="D41" s="23">
        <f>D39+D40</f>
        <v>1849053</v>
      </c>
    </row>
  </sheetData>
  <hyperlinks>
    <hyperlink ref="C7" r:id="rId1" xr:uid="{1110463E-BFD1-4D25-A517-FC493CECF27B}"/>
    <hyperlink ref="C35" r:id="rId2" xr:uid="{021C51FC-C586-4454-AB1F-C4E28AEF25F4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Employees</vt:lpstr>
      <vt:lpstr>Summary</vt:lpstr>
      <vt:lpstr>Operational Creditors</vt:lpstr>
      <vt:lpstr>Working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Resurgent India Limited</dc:creator>
  <cp:lastModifiedBy>singh</cp:lastModifiedBy>
  <dcterms:created xsi:type="dcterms:W3CDTF">2015-06-05T18:17:20Z</dcterms:created>
  <dcterms:modified xsi:type="dcterms:W3CDTF">2022-07-23T08:48:32Z</dcterms:modified>
</cp:coreProperties>
</file>